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455" windowWidth="15075" windowHeight="8100"/>
  </bookViews>
  <sheets>
    <sheet name="ProdConTrade" sheetId="1" r:id="rId1"/>
    <sheet name="Exports (g)" sheetId="2" r:id="rId2"/>
    <sheet name="Imports (g)" sheetId="3" r:id="rId3"/>
  </sheets>
  <externalReferences>
    <externalReference r:id="rId4"/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F57" i="1" l="1"/>
  <c r="E57" i="1"/>
  <c r="D57" i="1"/>
  <c r="F56" i="1"/>
  <c r="E56" i="1"/>
  <c r="D56" i="1"/>
  <c r="E55" i="1"/>
  <c r="D55" i="1"/>
  <c r="F55" i="1" s="1"/>
  <c r="E54" i="1"/>
  <c r="D54" i="1"/>
  <c r="F54" i="1" s="1"/>
  <c r="F53" i="1"/>
  <c r="E53" i="1"/>
  <c r="D53" i="1"/>
  <c r="F52" i="1"/>
  <c r="E52" i="1"/>
  <c r="D52" i="1"/>
  <c r="E51" i="1"/>
  <c r="D51" i="1"/>
  <c r="F51" i="1" s="1"/>
  <c r="E50" i="1"/>
  <c r="D50" i="1"/>
  <c r="F50" i="1" s="1"/>
  <c r="F49" i="1"/>
  <c r="E49" i="1"/>
  <c r="D49" i="1"/>
  <c r="F48" i="1"/>
  <c r="E48" i="1"/>
  <c r="D48" i="1"/>
  <c r="E47" i="1"/>
  <c r="D47" i="1"/>
  <c r="F47" i="1" s="1"/>
  <c r="E46" i="1"/>
  <c r="D46" i="1"/>
  <c r="F46" i="1" s="1"/>
  <c r="F45" i="1"/>
  <c r="E45" i="1"/>
  <c r="D45" i="1"/>
  <c r="F44" i="1"/>
  <c r="E44" i="1"/>
  <c r="D44" i="1"/>
  <c r="E43" i="1"/>
  <c r="D43" i="1"/>
  <c r="F43" i="1" s="1"/>
  <c r="E42" i="1"/>
  <c r="D42" i="1"/>
  <c r="F42" i="1" s="1"/>
  <c r="F41" i="1"/>
  <c r="E41" i="1"/>
  <c r="D41" i="1"/>
  <c r="F40" i="1"/>
  <c r="E40" i="1"/>
  <c r="D40" i="1"/>
  <c r="E39" i="1"/>
  <c r="D39" i="1"/>
  <c r="F39" i="1" s="1"/>
  <c r="E38" i="1"/>
  <c r="D38" i="1"/>
  <c r="F38" i="1" s="1"/>
  <c r="F37" i="1"/>
  <c r="E37" i="1"/>
  <c r="D37" i="1"/>
  <c r="F36" i="1"/>
  <c r="E36" i="1"/>
  <c r="D36" i="1"/>
  <c r="E35" i="1"/>
  <c r="D35" i="1"/>
  <c r="F35" i="1" s="1"/>
  <c r="E34" i="1"/>
  <c r="D34" i="1"/>
  <c r="F34" i="1" s="1"/>
  <c r="F33" i="1"/>
  <c r="E33" i="1"/>
  <c r="D33" i="1"/>
  <c r="F32" i="1"/>
  <c r="E32" i="1"/>
  <c r="D32" i="1"/>
  <c r="E31" i="1"/>
  <c r="D31" i="1"/>
  <c r="F31" i="1" s="1"/>
  <c r="E30" i="1"/>
  <c r="D30" i="1"/>
  <c r="F30" i="1" s="1"/>
  <c r="F29" i="1"/>
  <c r="E29" i="1"/>
  <c r="D29" i="1"/>
  <c r="F28" i="1"/>
  <c r="E28" i="1"/>
  <c r="D28" i="1"/>
  <c r="E27" i="1"/>
  <c r="D27" i="1"/>
  <c r="F27" i="1" s="1"/>
  <c r="E26" i="1"/>
  <c r="D26" i="1"/>
  <c r="F26" i="1" s="1"/>
  <c r="F25" i="1"/>
  <c r="E25" i="1"/>
  <c r="D25" i="1"/>
  <c r="F24" i="1"/>
  <c r="E24" i="1"/>
  <c r="D24" i="1"/>
  <c r="E23" i="1"/>
  <c r="D23" i="1"/>
  <c r="F23" i="1" s="1"/>
  <c r="E22" i="1"/>
  <c r="D22" i="1"/>
  <c r="F22" i="1" s="1"/>
  <c r="F21" i="1"/>
  <c r="E21" i="1"/>
  <c r="D21" i="1"/>
  <c r="F20" i="1"/>
  <c r="E20" i="1"/>
  <c r="D20" i="1"/>
  <c r="E19" i="1"/>
  <c r="D19" i="1"/>
  <c r="F19" i="1" s="1"/>
  <c r="E18" i="1"/>
  <c r="D18" i="1"/>
  <c r="F18" i="1" s="1"/>
  <c r="F17" i="1"/>
  <c r="E17" i="1"/>
  <c r="D17" i="1"/>
  <c r="F16" i="1"/>
  <c r="E16" i="1"/>
  <c r="D16" i="1"/>
  <c r="E15" i="1"/>
  <c r="D15" i="1"/>
  <c r="F15" i="1" s="1"/>
  <c r="E14" i="1"/>
  <c r="D14" i="1"/>
  <c r="F14" i="1" s="1"/>
  <c r="F13" i="1"/>
  <c r="E13" i="1"/>
  <c r="D13" i="1"/>
  <c r="F12" i="1"/>
  <c r="E12" i="1"/>
  <c r="D12" i="1"/>
  <c r="E11" i="1"/>
  <c r="D11" i="1"/>
  <c r="F11" i="1" s="1"/>
  <c r="E10" i="1"/>
  <c r="D10" i="1"/>
  <c r="F10" i="1" s="1"/>
  <c r="F9" i="1"/>
  <c r="E9" i="1"/>
  <c r="D9" i="1"/>
  <c r="F8" i="1"/>
  <c r="E8" i="1"/>
  <c r="D8" i="1"/>
  <c r="E7" i="1"/>
  <c r="D7" i="1"/>
  <c r="F7" i="1" s="1"/>
  <c r="E6" i="1"/>
  <c r="D6" i="1"/>
  <c r="F6" i="1" s="1"/>
</calcChain>
</file>

<file path=xl/sharedStrings.xml><?xml version="1.0" encoding="utf-8"?>
<sst xmlns="http://schemas.openxmlformats.org/spreadsheetml/2006/main" count="11" uniqueCount="11">
  <si>
    <t>World Grain Production, Consumption, and Trade, 1960-2011</t>
  </si>
  <si>
    <t>Year</t>
  </si>
  <si>
    <t>Production</t>
  </si>
  <si>
    <t>Consumption</t>
  </si>
  <si>
    <t>Imports</t>
  </si>
  <si>
    <t>Exports</t>
  </si>
  <si>
    <t>Imports as a Share of Consumption</t>
  </si>
  <si>
    <t>Million Tons</t>
  </si>
  <si>
    <t>Percent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</si>
  <si>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11 July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</si>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</sst>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mmmm\ d\,\ yyyy"/>
    <numFmt numFmtId="168" formatCode="yyyy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6" fontId="25" fillId="0" borderId="0">
      <alignment horizontal="right"/>
    </xf>
    <xf numFmtId="165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3">
      <alignment horizontal="right" vertical="center" indent="1"/>
    </xf>
    <xf numFmtId="3" fontId="31" fillId="33" borderId="13">
      <alignment horizontal="right" vertical="center" indent="1"/>
    </xf>
    <xf numFmtId="0" fontId="32" fillId="33" borderId="13">
      <alignment horizontal="left" vertical="center" indent="1"/>
    </xf>
    <xf numFmtId="0" fontId="33" fillId="34" borderId="13">
      <alignment horizontal="center" vertical="center"/>
    </xf>
    <xf numFmtId="3" fontId="30" fillId="33" borderId="13">
      <alignment horizontal="right" vertical="center" indent="1"/>
    </xf>
    <xf numFmtId="0" fontId="17" fillId="33" borderId="0"/>
    <xf numFmtId="3" fontId="31" fillId="33" borderId="13">
      <alignment horizontal="right" vertical="center" indent="1"/>
    </xf>
    <xf numFmtId="0" fontId="21" fillId="33" borderId="14"/>
    <xf numFmtId="0" fontId="34" fillId="35" borderId="13">
      <alignment horizontal="left" vertical="center" indent="1"/>
    </xf>
    <xf numFmtId="0" fontId="32" fillId="33" borderId="13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5" fontId="35" fillId="36" borderId="15" applyAlignment="0">
      <alignment horizontal="center"/>
    </xf>
    <xf numFmtId="167" fontId="17" fillId="0" borderId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7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0" borderId="1" applyNumberFormat="0" applyFill="0" applyAlignment="0" applyProtection="0"/>
    <xf numFmtId="0" fontId="2" fillId="0" borderId="1" applyNumberFormat="0" applyFill="0" applyAlignment="0" applyProtection="0"/>
    <xf numFmtId="0" fontId="39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37" borderId="0">
      <alignment horizontal="centerContinuous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8" fillId="5" borderId="4" applyNumberFormat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7" fillId="0" borderId="0"/>
    <xf numFmtId="0" fontId="17" fillId="0" borderId="0"/>
    <xf numFmtId="0" fontId="46" fillId="0" borderId="0"/>
    <xf numFmtId="0" fontId="46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7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0">
      <alignment horizontal="left" vertical="center"/>
    </xf>
    <xf numFmtId="0" fontId="51" fillId="0" borderId="0">
      <alignment horizontal="left"/>
    </xf>
    <xf numFmtId="0" fontId="17" fillId="0" borderId="0"/>
    <xf numFmtId="168" fontId="17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0">
    <xf numFmtId="0" fontId="0" fillId="0" borderId="0" xfId="0"/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7" fillId="0" borderId="10" xfId="2" applyFont="1" applyBorder="1" applyAlignment="1">
      <alignment horizontal="left"/>
    </xf>
    <xf numFmtId="0" fontId="17" fillId="0" borderId="10" xfId="2" applyFont="1" applyBorder="1" applyAlignment="1">
      <alignment horizontal="right"/>
    </xf>
    <xf numFmtId="0" fontId="17" fillId="0" borderId="10" xfId="2" applyFont="1" applyBorder="1" applyAlignment="1">
      <alignment horizontal="right" wrapText="1"/>
    </xf>
    <xf numFmtId="0" fontId="17" fillId="0" borderId="0" xfId="2" applyFont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horizontal="right" vertical="center"/>
    </xf>
    <xf numFmtId="0" fontId="17" fillId="0" borderId="0" xfId="2" applyFont="1" applyBorder="1" applyAlignment="1">
      <alignment horizontal="center" vertical="center"/>
    </xf>
    <xf numFmtId="164" fontId="19" fillId="0" borderId="0" xfId="1" applyNumberFormat="1" applyFont="1" applyFill="1" applyAlignment="1">
      <alignment vertical="center"/>
    </xf>
    <xf numFmtId="164" fontId="19" fillId="0" borderId="0" xfId="1" applyNumberFormat="1" applyFont="1" applyAlignment="1">
      <alignment vertical="center"/>
    </xf>
    <xf numFmtId="165" fontId="17" fillId="0" borderId="0" xfId="2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7" fillId="0" borderId="10" xfId="2" applyFont="1" applyBorder="1" applyAlignment="1">
      <alignment horizontal="left" vertical="center"/>
    </xf>
    <xf numFmtId="164" fontId="19" fillId="0" borderId="10" xfId="1" applyNumberFormat="1" applyFont="1" applyFill="1" applyBorder="1" applyAlignment="1">
      <alignment vertical="center"/>
    </xf>
    <xf numFmtId="164" fontId="19" fillId="0" borderId="10" xfId="1" applyNumberFormat="1" applyFont="1" applyBorder="1" applyAlignment="1">
      <alignment vertical="center"/>
    </xf>
    <xf numFmtId="165" fontId="17" fillId="0" borderId="10" xfId="2" applyNumberFormat="1" applyFont="1" applyBorder="1" applyAlignment="1">
      <alignment horizontal="right" vertical="center"/>
    </xf>
    <xf numFmtId="1" fontId="17" fillId="0" borderId="0" xfId="2" applyNumberFormat="1" applyFont="1" applyAlignment="1">
      <alignment horizontal="left" vertical="center" wrapText="1"/>
    </xf>
    <xf numFmtId="0" fontId="17" fillId="0" borderId="0" xfId="3" applyAlignment="1">
      <alignment vertical="center" wrapText="1"/>
    </xf>
  </cellXfs>
  <cellStyles count="135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04a_Total text black with rule" xfId="54"/>
    <cellStyle name="C05_Main text" xfId="55"/>
    <cellStyle name="C06_Figs" xfId="56"/>
    <cellStyle name="C07_Figs 1 dec percent" xfId="57"/>
    <cellStyle name="C08_Figs 1 decimal" xfId="58"/>
    <cellStyle name="C09_Notes" xfId="59"/>
    <cellStyle name="Calculation 2" xfId="60"/>
    <cellStyle name="Calculation 3" xfId="61"/>
    <cellStyle name="Check Cell 2" xfId="62"/>
    <cellStyle name="Check Cell 3" xfId="63"/>
    <cellStyle name="clsAltDataPrezn1" xfId="64"/>
    <cellStyle name="clsAltMRVDataPrezn1" xfId="65"/>
    <cellStyle name="clsAltRowHeader" xfId="66"/>
    <cellStyle name="clsColumnHeader" xfId="67"/>
    <cellStyle name="clsDataPrezn1" xfId="68"/>
    <cellStyle name="clsDefault" xfId="69"/>
    <cellStyle name="clsMRVDataPrezn1" xfId="70"/>
    <cellStyle name="clsMRVRow" xfId="71"/>
    <cellStyle name="clsReportHeader" xfId="72"/>
    <cellStyle name="clsRowHeader" xfId="73"/>
    <cellStyle name="Comma" xfId="1" builtinId="3"/>
    <cellStyle name="Comma 2" xfId="74"/>
    <cellStyle name="Comma 3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2" xfId="2"/>
    <cellStyle name="Normal 2 2" xfId="105"/>
    <cellStyle name="Normal 2 3" xfId="106"/>
    <cellStyle name="Normal 2 4" xfId="107"/>
    <cellStyle name="Normal 2 5" xfId="3"/>
    <cellStyle name="Normal 2 6" xfId="108"/>
    <cellStyle name="Normal 3" xfId="109"/>
    <cellStyle name="Normal 3 2" xfId="110"/>
    <cellStyle name="Normal 4" xfId="111"/>
    <cellStyle name="Normal 4 2" xfId="112"/>
    <cellStyle name="Normal 5" xfId="113"/>
    <cellStyle name="Normal 5 2" xfId="114"/>
    <cellStyle name="Normal 6" xfId="115"/>
    <cellStyle name="Normal 6 2" xfId="116"/>
    <cellStyle name="Normal 7" xfId="117"/>
    <cellStyle name="Normal 8" xfId="118"/>
    <cellStyle name="Normal 9" xfId="119"/>
    <cellStyle name="Note 2" xfId="120"/>
    <cellStyle name="Note 3" xfId="121"/>
    <cellStyle name="Output 2" xfId="122"/>
    <cellStyle name="Output 3" xfId="123"/>
    <cellStyle name="Percent 2" xfId="124"/>
    <cellStyle name="SectionCalcHeader" xfId="125"/>
    <cellStyle name="SectionHead" xfId="126"/>
    <cellStyle name="SectionSubhead" xfId="127"/>
    <cellStyle name="Source Text" xfId="128"/>
    <cellStyle name="Style 1" xfId="129"/>
    <cellStyle name="Style 29" xfId="130"/>
    <cellStyle name="Total 2" xfId="131"/>
    <cellStyle name="Total 3" xfId="132"/>
    <cellStyle name="Warning Text 2" xfId="133"/>
    <cellStyle name="Warning Text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World Grain Exports, 1960-2011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341821068187591"/>
          <c:y val="5.0846416925157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ProdConTrade!$A$6:$A$57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ProdConTrade!$E$6:$E$57</c:f>
              <c:numCache>
                <c:formatCode>_(* #,##0_);_(* \(#,##0\);_(* "-"??_);_(@_)</c:formatCode>
                <c:ptCount val="52"/>
                <c:pt idx="0">
                  <c:v>75.816000000000003</c:v>
                </c:pt>
                <c:pt idx="1">
                  <c:v>87.155000000000001</c:v>
                </c:pt>
                <c:pt idx="2">
                  <c:v>86.138000000000005</c:v>
                </c:pt>
                <c:pt idx="3">
                  <c:v>102.407</c:v>
                </c:pt>
                <c:pt idx="4">
                  <c:v>100.60599999999999</c:v>
                </c:pt>
                <c:pt idx="5">
                  <c:v>116.255</c:v>
                </c:pt>
                <c:pt idx="6">
                  <c:v>109.825</c:v>
                </c:pt>
                <c:pt idx="7">
                  <c:v>104.93</c:v>
                </c:pt>
                <c:pt idx="8">
                  <c:v>98.338999999999999</c:v>
                </c:pt>
                <c:pt idx="9">
                  <c:v>111.92700000000001</c:v>
                </c:pt>
                <c:pt idx="10">
                  <c:v>119.226</c:v>
                </c:pt>
                <c:pt idx="11">
                  <c:v>122.65600000000001</c:v>
                </c:pt>
                <c:pt idx="12">
                  <c:v>137.55600000000001</c:v>
                </c:pt>
                <c:pt idx="13">
                  <c:v>143.32900000000001</c:v>
                </c:pt>
                <c:pt idx="14">
                  <c:v>129.584</c:v>
                </c:pt>
                <c:pt idx="15">
                  <c:v>152.28299999999999</c:v>
                </c:pt>
                <c:pt idx="16">
                  <c:v>153.44200000000001</c:v>
                </c:pt>
                <c:pt idx="17">
                  <c:v>160.54400000000001</c:v>
                </c:pt>
                <c:pt idx="18">
                  <c:v>176.739</c:v>
                </c:pt>
                <c:pt idx="19">
                  <c:v>194.09800000000001</c:v>
                </c:pt>
                <c:pt idx="20">
                  <c:v>211.99299999999999</c:v>
                </c:pt>
                <c:pt idx="21">
                  <c:v>210.07</c:v>
                </c:pt>
                <c:pt idx="22">
                  <c:v>195.87200000000001</c:v>
                </c:pt>
                <c:pt idx="23">
                  <c:v>205.63200000000001</c:v>
                </c:pt>
                <c:pt idx="24">
                  <c:v>214.21199999999999</c:v>
                </c:pt>
                <c:pt idx="25">
                  <c:v>175.87100000000001</c:v>
                </c:pt>
                <c:pt idx="26">
                  <c:v>186.958</c:v>
                </c:pt>
                <c:pt idx="27">
                  <c:v>212.898</c:v>
                </c:pt>
                <c:pt idx="28">
                  <c:v>219.41399999999999</c:v>
                </c:pt>
                <c:pt idx="29">
                  <c:v>218.55699999999999</c:v>
                </c:pt>
                <c:pt idx="30">
                  <c:v>205.65600000000001</c:v>
                </c:pt>
                <c:pt idx="31">
                  <c:v>218.37799999999999</c:v>
                </c:pt>
                <c:pt idx="32">
                  <c:v>219.05199999999999</c:v>
                </c:pt>
                <c:pt idx="33">
                  <c:v>207.102</c:v>
                </c:pt>
                <c:pt idx="34">
                  <c:v>212.77500000000001</c:v>
                </c:pt>
                <c:pt idx="35">
                  <c:v>213.548</c:v>
                </c:pt>
                <c:pt idx="36">
                  <c:v>219.51300000000001</c:v>
                </c:pt>
                <c:pt idx="37">
                  <c:v>217.23500000000001</c:v>
                </c:pt>
                <c:pt idx="38">
                  <c:v>220.73400000000001</c:v>
                </c:pt>
                <c:pt idx="39">
                  <c:v>241.16800000000001</c:v>
                </c:pt>
                <c:pt idx="40">
                  <c:v>229.864</c:v>
                </c:pt>
                <c:pt idx="41">
                  <c:v>234.923</c:v>
                </c:pt>
                <c:pt idx="42">
                  <c:v>236.56800000000001</c:v>
                </c:pt>
                <c:pt idx="43">
                  <c:v>239.29599999999999</c:v>
                </c:pt>
                <c:pt idx="44">
                  <c:v>240.67</c:v>
                </c:pt>
                <c:pt idx="45">
                  <c:v>254.238</c:v>
                </c:pt>
                <c:pt idx="46">
                  <c:v>261.113</c:v>
                </c:pt>
                <c:pt idx="47">
                  <c:v>275.971</c:v>
                </c:pt>
                <c:pt idx="48">
                  <c:v>286.55099999999999</c:v>
                </c:pt>
                <c:pt idx="49">
                  <c:v>291.36900000000003</c:v>
                </c:pt>
                <c:pt idx="50">
                  <c:v>283.61700000000002</c:v>
                </c:pt>
                <c:pt idx="51">
                  <c:v>311.01299999999998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14720"/>
        <c:axId val="146168064"/>
      </c:scatterChart>
      <c:valAx>
        <c:axId val="12361472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0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168064"/>
        <c:crossesAt val="0"/>
        <c:crossBetween val="midCat"/>
        <c:majorUnit val="10"/>
      </c:valAx>
      <c:valAx>
        <c:axId val="146168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baseline="0">
                    <a:effectLst/>
                  </a:rPr>
                  <a:t>Million Tons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6147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ProdConTrade!$F$3</c:f>
              <c:strCache>
                <c:ptCount val="1"/>
                <c:pt idx="0">
                  <c:v>Imports as a Share of Consumption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ProdConTrade!$A$6:$A$57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ProdConTrade!$F$6:$F$57</c:f>
              <c:numCache>
                <c:formatCode>0.0</c:formatCode>
                <c:ptCount val="52"/>
                <c:pt idx="0">
                  <c:v>8.7444664009803166</c:v>
                </c:pt>
                <c:pt idx="1">
                  <c:v>10.162703164679405</c:v>
                </c:pt>
                <c:pt idx="2">
                  <c:v>9.6960067612412786</c:v>
                </c:pt>
                <c:pt idx="3">
                  <c:v>11.688317784978517</c:v>
                </c:pt>
                <c:pt idx="4">
                  <c:v>10.19386802773945</c:v>
                </c:pt>
                <c:pt idx="5">
                  <c:v>11.695574499589586</c:v>
                </c:pt>
                <c:pt idx="6">
                  <c:v>11.31367325859048</c:v>
                </c:pt>
                <c:pt idx="7">
                  <c:v>10.337355131716851</c:v>
                </c:pt>
                <c:pt idx="8">
                  <c:v>9.4335608527960186</c:v>
                </c:pt>
                <c:pt idx="9">
                  <c:v>9.5101927003310553</c:v>
                </c:pt>
                <c:pt idx="10">
                  <c:v>10.25072408436835</c:v>
                </c:pt>
                <c:pt idx="11">
                  <c:v>10.43623594968234</c:v>
                </c:pt>
                <c:pt idx="12">
                  <c:v>11.359459314378322</c:v>
                </c:pt>
                <c:pt idx="13">
                  <c:v>10.707986837001783</c:v>
                </c:pt>
                <c:pt idx="14">
                  <c:v>10.391158405462072</c:v>
                </c:pt>
                <c:pt idx="15">
                  <c:v>12.177988074274198</c:v>
                </c:pt>
                <c:pt idx="16">
                  <c:v>11.429464872878926</c:v>
                </c:pt>
                <c:pt idx="17">
                  <c:v>12.051427995425321</c:v>
                </c:pt>
                <c:pt idx="18">
                  <c:v>12.07951225450414</c:v>
                </c:pt>
                <c:pt idx="19">
                  <c:v>13.793588162413631</c:v>
                </c:pt>
                <c:pt idx="20">
                  <c:v>13.993905276214047</c:v>
                </c:pt>
                <c:pt idx="21">
                  <c:v>14.381768742574447</c:v>
                </c:pt>
                <c:pt idx="22">
                  <c:v>13.207385953288844</c:v>
                </c:pt>
                <c:pt idx="23">
                  <c:v>13.059807397872502</c:v>
                </c:pt>
                <c:pt idx="24">
                  <c:v>13.639262897486354</c:v>
                </c:pt>
                <c:pt idx="25">
                  <c:v>11.125580520654008</c:v>
                </c:pt>
                <c:pt idx="26">
                  <c:v>11.143673405667005</c:v>
                </c:pt>
                <c:pt idx="27">
                  <c:v>12.789889962719176</c:v>
                </c:pt>
                <c:pt idx="28">
                  <c:v>13.092129664200405</c:v>
                </c:pt>
                <c:pt idx="29">
                  <c:v>12.692950428394381</c:v>
                </c:pt>
                <c:pt idx="30">
                  <c:v>11.587536292335198</c:v>
                </c:pt>
                <c:pt idx="31">
                  <c:v>12.478349774277433</c:v>
                </c:pt>
                <c:pt idx="32">
                  <c:v>12.01377136583517</c:v>
                </c:pt>
                <c:pt idx="33">
                  <c:v>11.417704158147444</c:v>
                </c:pt>
                <c:pt idx="34">
                  <c:v>12.118443683187037</c:v>
                </c:pt>
                <c:pt idx="35">
                  <c:v>11.732298616516218</c:v>
                </c:pt>
                <c:pt idx="36">
                  <c:v>11.402181015677087</c:v>
                </c:pt>
                <c:pt idx="37">
                  <c:v>11.723426643322693</c:v>
                </c:pt>
                <c:pt idx="38">
                  <c:v>11.951748829763641</c:v>
                </c:pt>
                <c:pt idx="39">
                  <c:v>12.333589277295076</c:v>
                </c:pt>
                <c:pt idx="40">
                  <c:v>12.035343074439135</c:v>
                </c:pt>
                <c:pt idx="41">
                  <c:v>12.119178943765272</c:v>
                </c:pt>
                <c:pt idx="42">
                  <c:v>12.160041813613097</c:v>
                </c:pt>
                <c:pt idx="43">
                  <c:v>11.769658626489198</c:v>
                </c:pt>
                <c:pt idx="44">
                  <c:v>11.896186195755648</c:v>
                </c:pt>
                <c:pt idx="45">
                  <c:v>12.089418429717167</c:v>
                </c:pt>
                <c:pt idx="46">
                  <c:v>12.493575602988646</c:v>
                </c:pt>
                <c:pt idx="47">
                  <c:v>12.878209441816924</c:v>
                </c:pt>
                <c:pt idx="48">
                  <c:v>12.826473397172993</c:v>
                </c:pt>
                <c:pt idx="49">
                  <c:v>12.685516645839853</c:v>
                </c:pt>
                <c:pt idx="50">
                  <c:v>12.588377879451787</c:v>
                </c:pt>
                <c:pt idx="51">
                  <c:v>13.011805397190709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78912"/>
        <c:axId val="157901568"/>
      </c:scatterChart>
      <c:valAx>
        <c:axId val="15787891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0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901568"/>
        <c:crosses val="autoZero"/>
        <c:crossBetween val="midCat"/>
        <c:majorUnit val="10"/>
      </c:valAx>
      <c:valAx>
        <c:axId val="15790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8789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0.1159</cdr:x>
      <cdr:y>0.0582</cdr:y>
    </cdr:from>
    <cdr:to>
      <cdr:x>0.95988</cdr:x>
      <cdr:y>0.13404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5409" y="285750"/>
          <a:ext cx="4918364" cy="372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World Grain Imports as a Share of Consumption, 1960-2011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ocks"/>
      <sheetName val="Stocks-Days (g)"/>
      <sheetName val="Stocks-Tons (g)"/>
      <sheetName val="ProdAreaYield"/>
      <sheetName val="Yield (g)"/>
      <sheetName val="ProdPerCap"/>
      <sheetName val="ProdPerCap (g)"/>
      <sheetName val="Balance"/>
      <sheetName val="Balance (g)"/>
      <sheetName val="AreaPerCap"/>
      <sheetName val="AreaPerCap (g)"/>
      <sheetName val="Area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s"/>
      <sheetName val="CornWheatRice Yields (g)"/>
      <sheetName val="Top 10 Prod"/>
      <sheetName val="Top 10 Grain Importers"/>
      <sheetName val="Top 10 Grain Exporters"/>
      <sheetName val="Top 10 Consumers"/>
      <sheetName val="Grain Area per Person"/>
      <sheetName val="World Food Prices"/>
      <sheetName val="Total Food Price Index (g)"/>
      <sheetName val="Grains Price Index (g)"/>
      <sheetName val="All Price Indices (g)"/>
      <sheetName val="WFP Aid Recipients"/>
      <sheetName val="Food Insecurity Indicators"/>
    </sheetNames>
    <sheetDataSet>
      <sheetData sheetId="0"/>
      <sheetData sheetId="1"/>
      <sheetData sheetId="4"/>
      <sheetData sheetId="6"/>
      <sheetData sheetId="8"/>
      <sheetData sheetId="10"/>
      <sheetData sheetId="13">
        <row r="3">
          <cell r="F3" t="str">
            <v>Imports as a Share of Consumption</v>
          </cell>
        </row>
        <row r="6">
          <cell r="A6">
            <v>1960</v>
          </cell>
          <cell r="E6">
            <v>75.816000000000003</v>
          </cell>
          <cell r="F6">
            <v>8.7444664009803166</v>
          </cell>
        </row>
        <row r="7">
          <cell r="A7">
            <v>1961</v>
          </cell>
          <cell r="E7">
            <v>87.155000000000001</v>
          </cell>
          <cell r="F7">
            <v>10.162703164679405</v>
          </cell>
        </row>
        <row r="8">
          <cell r="A8">
            <v>1962</v>
          </cell>
          <cell r="E8">
            <v>86.138000000000005</v>
          </cell>
          <cell r="F8">
            <v>9.6960067612412786</v>
          </cell>
        </row>
        <row r="9">
          <cell r="A9">
            <v>1963</v>
          </cell>
          <cell r="E9">
            <v>102.407</v>
          </cell>
          <cell r="F9">
            <v>11.688317784978517</v>
          </cell>
        </row>
        <row r="10">
          <cell r="A10">
            <v>1964</v>
          </cell>
          <cell r="E10">
            <v>100.60599999999999</v>
          </cell>
          <cell r="F10">
            <v>10.19386802773945</v>
          </cell>
        </row>
        <row r="11">
          <cell r="A11">
            <v>1965</v>
          </cell>
          <cell r="E11">
            <v>116.255</v>
          </cell>
          <cell r="F11">
            <v>11.695574499589586</v>
          </cell>
        </row>
        <row r="12">
          <cell r="A12">
            <v>1966</v>
          </cell>
          <cell r="E12">
            <v>109.825</v>
          </cell>
          <cell r="F12">
            <v>11.31367325859048</v>
          </cell>
        </row>
        <row r="13">
          <cell r="A13">
            <v>1967</v>
          </cell>
          <cell r="E13">
            <v>104.93</v>
          </cell>
          <cell r="F13">
            <v>10.337355131716851</v>
          </cell>
        </row>
        <row r="14">
          <cell r="A14">
            <v>1968</v>
          </cell>
          <cell r="E14">
            <v>98.338999999999999</v>
          </cell>
          <cell r="F14">
            <v>9.4335608527960186</v>
          </cell>
        </row>
        <row r="15">
          <cell r="A15">
            <v>1969</v>
          </cell>
          <cell r="E15">
            <v>111.92700000000001</v>
          </cell>
          <cell r="F15">
            <v>9.5101927003310553</v>
          </cell>
        </row>
        <row r="16">
          <cell r="A16">
            <v>1970</v>
          </cell>
          <cell r="E16">
            <v>119.226</v>
          </cell>
          <cell r="F16">
            <v>10.25072408436835</v>
          </cell>
        </row>
        <row r="17">
          <cell r="A17">
            <v>1971</v>
          </cell>
          <cell r="E17">
            <v>122.65600000000001</v>
          </cell>
          <cell r="F17">
            <v>10.43623594968234</v>
          </cell>
        </row>
        <row r="18">
          <cell r="A18">
            <v>1972</v>
          </cell>
          <cell r="E18">
            <v>137.55600000000001</v>
          </cell>
          <cell r="F18">
            <v>11.359459314378322</v>
          </cell>
        </row>
        <row r="19">
          <cell r="A19">
            <v>1973</v>
          </cell>
          <cell r="E19">
            <v>143.32900000000001</v>
          </cell>
          <cell r="F19">
            <v>10.707986837001783</v>
          </cell>
        </row>
        <row r="20">
          <cell r="A20">
            <v>1974</v>
          </cell>
          <cell r="E20">
            <v>129.584</v>
          </cell>
          <cell r="F20">
            <v>10.391158405462072</v>
          </cell>
        </row>
        <row r="21">
          <cell r="A21">
            <v>1975</v>
          </cell>
          <cell r="E21">
            <v>152.28299999999999</v>
          </cell>
          <cell r="F21">
            <v>12.177988074274198</v>
          </cell>
        </row>
        <row r="22">
          <cell r="A22">
            <v>1976</v>
          </cell>
          <cell r="E22">
            <v>153.44200000000001</v>
          </cell>
          <cell r="F22">
            <v>11.429464872878926</v>
          </cell>
        </row>
        <row r="23">
          <cell r="A23">
            <v>1977</v>
          </cell>
          <cell r="E23">
            <v>160.54400000000001</v>
          </cell>
          <cell r="F23">
            <v>12.051427995425321</v>
          </cell>
        </row>
        <row r="24">
          <cell r="A24">
            <v>1978</v>
          </cell>
          <cell r="E24">
            <v>176.739</v>
          </cell>
          <cell r="F24">
            <v>12.07951225450414</v>
          </cell>
        </row>
        <row r="25">
          <cell r="A25">
            <v>1979</v>
          </cell>
          <cell r="E25">
            <v>194.09800000000001</v>
          </cell>
          <cell r="F25">
            <v>13.793588162413631</v>
          </cell>
        </row>
        <row r="26">
          <cell r="A26">
            <v>1980</v>
          </cell>
          <cell r="E26">
            <v>211.99299999999999</v>
          </cell>
          <cell r="F26">
            <v>13.993905276214047</v>
          </cell>
        </row>
        <row r="27">
          <cell r="A27">
            <v>1981</v>
          </cell>
          <cell r="E27">
            <v>210.07</v>
          </cell>
          <cell r="F27">
            <v>14.381768742574447</v>
          </cell>
        </row>
        <row r="28">
          <cell r="A28">
            <v>1982</v>
          </cell>
          <cell r="E28">
            <v>195.87200000000001</v>
          </cell>
          <cell r="F28">
            <v>13.207385953288844</v>
          </cell>
        </row>
        <row r="29">
          <cell r="A29">
            <v>1983</v>
          </cell>
          <cell r="E29">
            <v>205.63200000000001</v>
          </cell>
          <cell r="F29">
            <v>13.059807397872502</v>
          </cell>
        </row>
        <row r="30">
          <cell r="A30">
            <v>1984</v>
          </cell>
          <cell r="E30">
            <v>214.21199999999999</v>
          </cell>
          <cell r="F30">
            <v>13.639262897486354</v>
          </cell>
        </row>
        <row r="31">
          <cell r="A31">
            <v>1985</v>
          </cell>
          <cell r="E31">
            <v>175.87100000000001</v>
          </cell>
          <cell r="F31">
            <v>11.125580520654008</v>
          </cell>
        </row>
        <row r="32">
          <cell r="A32">
            <v>1986</v>
          </cell>
          <cell r="E32">
            <v>186.958</v>
          </cell>
          <cell r="F32">
            <v>11.143673405667005</v>
          </cell>
        </row>
        <row r="33">
          <cell r="A33">
            <v>1987</v>
          </cell>
          <cell r="E33">
            <v>212.898</v>
          </cell>
          <cell r="F33">
            <v>12.789889962719176</v>
          </cell>
        </row>
        <row r="34">
          <cell r="A34">
            <v>1988</v>
          </cell>
          <cell r="E34">
            <v>219.41399999999999</v>
          </cell>
          <cell r="F34">
            <v>13.092129664200405</v>
          </cell>
        </row>
        <row r="35">
          <cell r="A35">
            <v>1989</v>
          </cell>
          <cell r="E35">
            <v>218.55699999999999</v>
          </cell>
          <cell r="F35">
            <v>12.692950428394381</v>
          </cell>
        </row>
        <row r="36">
          <cell r="A36">
            <v>1990</v>
          </cell>
          <cell r="E36">
            <v>205.65600000000001</v>
          </cell>
          <cell r="F36">
            <v>11.587536292335198</v>
          </cell>
        </row>
        <row r="37">
          <cell r="A37">
            <v>1991</v>
          </cell>
          <cell r="E37">
            <v>218.37799999999999</v>
          </cell>
          <cell r="F37">
            <v>12.478349774277433</v>
          </cell>
        </row>
        <row r="38">
          <cell r="A38">
            <v>1992</v>
          </cell>
          <cell r="E38">
            <v>219.05199999999999</v>
          </cell>
          <cell r="F38">
            <v>12.01377136583517</v>
          </cell>
        </row>
        <row r="39">
          <cell r="A39">
            <v>1993</v>
          </cell>
          <cell r="E39">
            <v>207.102</v>
          </cell>
          <cell r="F39">
            <v>11.417704158147444</v>
          </cell>
        </row>
        <row r="40">
          <cell r="A40">
            <v>1994</v>
          </cell>
          <cell r="E40">
            <v>212.77500000000001</v>
          </cell>
          <cell r="F40">
            <v>12.118443683187037</v>
          </cell>
        </row>
        <row r="41">
          <cell r="A41">
            <v>1995</v>
          </cell>
          <cell r="E41">
            <v>213.548</v>
          </cell>
          <cell r="F41">
            <v>11.732298616516218</v>
          </cell>
        </row>
        <row r="42">
          <cell r="A42">
            <v>1996</v>
          </cell>
          <cell r="E42">
            <v>219.51300000000001</v>
          </cell>
          <cell r="F42">
            <v>11.402181015677087</v>
          </cell>
        </row>
        <row r="43">
          <cell r="A43">
            <v>1997</v>
          </cell>
          <cell r="E43">
            <v>217.23500000000001</v>
          </cell>
          <cell r="F43">
            <v>11.723426643322693</v>
          </cell>
        </row>
        <row r="44">
          <cell r="A44">
            <v>1998</v>
          </cell>
          <cell r="E44">
            <v>220.73400000000001</v>
          </cell>
          <cell r="F44">
            <v>11.951748829763641</v>
          </cell>
        </row>
        <row r="45">
          <cell r="A45">
            <v>1999</v>
          </cell>
          <cell r="E45">
            <v>241.16800000000001</v>
          </cell>
          <cell r="F45">
            <v>12.333589277295076</v>
          </cell>
        </row>
        <row r="46">
          <cell r="A46">
            <v>2000</v>
          </cell>
          <cell r="E46">
            <v>229.864</v>
          </cell>
          <cell r="F46">
            <v>12.035343074439135</v>
          </cell>
        </row>
        <row r="47">
          <cell r="A47">
            <v>2001</v>
          </cell>
          <cell r="E47">
            <v>234.923</v>
          </cell>
          <cell r="F47">
            <v>12.119178943765272</v>
          </cell>
        </row>
        <row r="48">
          <cell r="A48">
            <v>2002</v>
          </cell>
          <cell r="E48">
            <v>236.56800000000001</v>
          </cell>
          <cell r="F48">
            <v>12.160041813613097</v>
          </cell>
        </row>
        <row r="49">
          <cell r="A49">
            <v>2003</v>
          </cell>
          <cell r="E49">
            <v>239.29599999999999</v>
          </cell>
          <cell r="F49">
            <v>11.769658626489198</v>
          </cell>
        </row>
        <row r="50">
          <cell r="A50">
            <v>2004</v>
          </cell>
          <cell r="E50">
            <v>240.67</v>
          </cell>
          <cell r="F50">
            <v>11.896186195755648</v>
          </cell>
        </row>
        <row r="51">
          <cell r="A51">
            <v>2005</v>
          </cell>
          <cell r="E51">
            <v>254.238</v>
          </cell>
          <cell r="F51">
            <v>12.089418429717167</v>
          </cell>
        </row>
        <row r="52">
          <cell r="A52">
            <v>2006</v>
          </cell>
          <cell r="E52">
            <v>261.113</v>
          </cell>
          <cell r="F52">
            <v>12.493575602988646</v>
          </cell>
        </row>
        <row r="53">
          <cell r="A53">
            <v>2007</v>
          </cell>
          <cell r="E53">
            <v>275.971</v>
          </cell>
          <cell r="F53">
            <v>12.878209441816924</v>
          </cell>
        </row>
        <row r="54">
          <cell r="A54">
            <v>2008</v>
          </cell>
          <cell r="E54">
            <v>286.55099999999999</v>
          </cell>
          <cell r="F54">
            <v>12.826473397172993</v>
          </cell>
        </row>
        <row r="55">
          <cell r="A55">
            <v>2009</v>
          </cell>
          <cell r="E55">
            <v>291.36900000000003</v>
          </cell>
          <cell r="F55">
            <v>12.685516645839853</v>
          </cell>
        </row>
        <row r="56">
          <cell r="A56">
            <v>2010</v>
          </cell>
          <cell r="E56">
            <v>283.61700000000002</v>
          </cell>
          <cell r="F56">
            <v>12.588377879451787</v>
          </cell>
        </row>
        <row r="57">
          <cell r="A57">
            <v>2011</v>
          </cell>
          <cell r="E57">
            <v>311.01299999999998</v>
          </cell>
          <cell r="F57">
            <v>13.011805397190709</v>
          </cell>
        </row>
      </sheetData>
      <sheetData sheetId="16"/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64"/>
  <sheetViews>
    <sheetView tabSelected="1" zoomScaleNormal="100" zoomScaleSheetLayoutView="100" workbookViewId="0"/>
  </sheetViews>
  <sheetFormatPr defaultColWidth="8.85546875" defaultRowHeight="12.75" x14ac:dyDescent="0.25"/>
  <cols>
    <col min="1" max="1" width="8.85546875" style="13"/>
    <col min="2" max="5" width="14.42578125" style="13" customWidth="1"/>
    <col min="6" max="6" width="17.42578125" style="13" customWidth="1"/>
    <col min="7" max="16384" width="8.85546875" style="13"/>
  </cols>
  <sheetData>
    <row r="1" spans="1:6" s="2" customFormat="1" x14ac:dyDescent="0.25">
      <c r="A1" s="1" t="s">
        <v>0</v>
      </c>
    </row>
    <row r="2" spans="1:6" s="2" customFormat="1" x14ac:dyDescent="0.25"/>
    <row r="3" spans="1:6" s="2" customFormat="1" ht="30.75" customHeight="1" x14ac:dyDescent="0.2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</row>
    <row r="4" spans="1:6" s="2" customFormat="1" x14ac:dyDescent="0.25">
      <c r="A4" s="6"/>
      <c r="B4" s="7" t="s">
        <v>7</v>
      </c>
      <c r="C4" s="7"/>
      <c r="D4" s="7"/>
      <c r="E4" s="7"/>
      <c r="F4" s="8" t="s">
        <v>8</v>
      </c>
    </row>
    <row r="5" spans="1:6" s="2" customFormat="1" x14ac:dyDescent="0.25">
      <c r="A5" s="6"/>
      <c r="B5" s="9"/>
      <c r="C5" s="9"/>
      <c r="D5" s="9"/>
      <c r="E5" s="9"/>
      <c r="F5" s="9"/>
    </row>
    <row r="6" spans="1:6" s="2" customFormat="1" ht="12.75" customHeight="1" x14ac:dyDescent="0.25">
      <c r="A6" s="6">
        <v>1960</v>
      </c>
      <c r="B6" s="10">
        <v>823.55100000000004</v>
      </c>
      <c r="C6" s="11">
        <v>815.24699999999996</v>
      </c>
      <c r="D6" s="11">
        <f>71289/(1000)</f>
        <v>71.289000000000001</v>
      </c>
      <c r="E6" s="11">
        <f>75816/(1000)</f>
        <v>75.816000000000003</v>
      </c>
      <c r="F6" s="12">
        <f>(D6/C6)*100</f>
        <v>8.7444664009803166</v>
      </c>
    </row>
    <row r="7" spans="1:6" s="2" customFormat="1" x14ac:dyDescent="0.25">
      <c r="A7" s="6">
        <v>1961</v>
      </c>
      <c r="B7" s="10">
        <v>799.50800000000004</v>
      </c>
      <c r="C7" s="11">
        <v>816.702</v>
      </c>
      <c r="D7" s="11">
        <f>82999/(1000)</f>
        <v>82.998999999999995</v>
      </c>
      <c r="E7" s="11">
        <f>87155/(1000)</f>
        <v>87.155000000000001</v>
      </c>
      <c r="F7" s="12">
        <f t="shared" ref="F7:F57" si="0">(D7/C7)*100</f>
        <v>10.162703164679405</v>
      </c>
    </row>
    <row r="8" spans="1:6" s="2" customFormat="1" x14ac:dyDescent="0.25">
      <c r="A8" s="6">
        <v>1962</v>
      </c>
      <c r="B8" s="10">
        <v>850.44500000000005</v>
      </c>
      <c r="C8" s="11">
        <v>837.71600000000001</v>
      </c>
      <c r="D8" s="11">
        <f>81225/(1000)</f>
        <v>81.224999999999994</v>
      </c>
      <c r="E8" s="11">
        <f>86138/(1000)</f>
        <v>86.138000000000005</v>
      </c>
      <c r="F8" s="12">
        <f t="shared" si="0"/>
        <v>9.6960067612412786</v>
      </c>
    </row>
    <row r="9" spans="1:6" x14ac:dyDescent="0.25">
      <c r="A9" s="6">
        <v>1963</v>
      </c>
      <c r="B9" s="10">
        <v>857.73800000000006</v>
      </c>
      <c r="C9" s="11">
        <v>852.07299999999998</v>
      </c>
      <c r="D9" s="11">
        <f>99593/(1000)</f>
        <v>99.593000000000004</v>
      </c>
      <c r="E9" s="11">
        <f>102407/(1000)</f>
        <v>102.407</v>
      </c>
      <c r="F9" s="12">
        <f t="shared" si="0"/>
        <v>11.688317784978517</v>
      </c>
    </row>
    <row r="10" spans="1:6" x14ac:dyDescent="0.25">
      <c r="A10" s="6">
        <v>1964</v>
      </c>
      <c r="B10" s="10">
        <v>906.18399999999997</v>
      </c>
      <c r="C10" s="11">
        <v>895.76400000000001</v>
      </c>
      <c r="D10" s="11">
        <f>91313/(1000)</f>
        <v>91.313000000000002</v>
      </c>
      <c r="E10" s="11">
        <f>100606/(1000)</f>
        <v>100.60599999999999</v>
      </c>
      <c r="F10" s="12">
        <f t="shared" si="0"/>
        <v>10.19386802773945</v>
      </c>
    </row>
    <row r="11" spans="1:6" x14ac:dyDescent="0.25">
      <c r="A11" s="6">
        <v>1965</v>
      </c>
      <c r="B11" s="10">
        <v>904.60699999999997</v>
      </c>
      <c r="C11" s="11">
        <v>931.98500000000001</v>
      </c>
      <c r="D11" s="11">
        <f>109001/(1000)</f>
        <v>109.001</v>
      </c>
      <c r="E11" s="11">
        <f>116255/(1000)</f>
        <v>116.255</v>
      </c>
      <c r="F11" s="12">
        <f t="shared" si="0"/>
        <v>11.695574499589586</v>
      </c>
    </row>
    <row r="12" spans="1:6" x14ac:dyDescent="0.25">
      <c r="A12" s="6">
        <v>1966</v>
      </c>
      <c r="B12" s="10">
        <v>988.46400000000006</v>
      </c>
      <c r="C12" s="11">
        <v>956.524</v>
      </c>
      <c r="D12" s="11">
        <f>108218/(1000)</f>
        <v>108.218</v>
      </c>
      <c r="E12" s="11">
        <f>109825/(1000)</f>
        <v>109.825</v>
      </c>
      <c r="F12" s="12">
        <f t="shared" si="0"/>
        <v>11.31367325859048</v>
      </c>
    </row>
    <row r="13" spans="1:6" x14ac:dyDescent="0.25">
      <c r="A13" s="6">
        <v>1967</v>
      </c>
      <c r="B13" s="10">
        <v>1014.222</v>
      </c>
      <c r="C13" s="11">
        <v>987.53499999999997</v>
      </c>
      <c r="D13" s="11">
        <f>102085/(1000)</f>
        <v>102.08499999999999</v>
      </c>
      <c r="E13" s="11">
        <f>104930/(1000)</f>
        <v>104.93</v>
      </c>
      <c r="F13" s="12">
        <f t="shared" si="0"/>
        <v>10.337355131716851</v>
      </c>
    </row>
    <row r="14" spans="1:6" x14ac:dyDescent="0.25">
      <c r="A14" s="6">
        <v>1968</v>
      </c>
      <c r="B14" s="10">
        <v>1052.4590000000001</v>
      </c>
      <c r="C14" s="11">
        <v>1019.986</v>
      </c>
      <c r="D14" s="11">
        <f>96221/(1000)</f>
        <v>96.221000000000004</v>
      </c>
      <c r="E14" s="11">
        <f>98339/(1000)</f>
        <v>98.338999999999999</v>
      </c>
      <c r="F14" s="12">
        <f t="shared" si="0"/>
        <v>9.4335608527960186</v>
      </c>
    </row>
    <row r="15" spans="1:6" x14ac:dyDescent="0.25">
      <c r="A15" s="6">
        <v>1969</v>
      </c>
      <c r="B15" s="10">
        <v>1063.107</v>
      </c>
      <c r="C15" s="11">
        <v>1068.7059999999999</v>
      </c>
      <c r="D15" s="11">
        <f>101636/(1000)</f>
        <v>101.636</v>
      </c>
      <c r="E15" s="11">
        <f>111927/(1000)</f>
        <v>111.92700000000001</v>
      </c>
      <c r="F15" s="12">
        <f t="shared" si="0"/>
        <v>9.5101927003310553</v>
      </c>
    </row>
    <row r="16" spans="1:6" x14ac:dyDescent="0.25">
      <c r="A16" s="6">
        <v>1970</v>
      </c>
      <c r="B16" s="10">
        <v>1078.7059999999999</v>
      </c>
      <c r="C16" s="11">
        <v>1107.951</v>
      </c>
      <c r="D16" s="11">
        <f>113573/(1000)</f>
        <v>113.57299999999999</v>
      </c>
      <c r="E16" s="11">
        <f>119226/(1000)</f>
        <v>119.226</v>
      </c>
      <c r="F16" s="12">
        <f t="shared" si="0"/>
        <v>10.25072408436835</v>
      </c>
    </row>
    <row r="17" spans="1:6" x14ac:dyDescent="0.25">
      <c r="A17" s="6">
        <v>1971</v>
      </c>
      <c r="B17" s="10">
        <v>1177.258</v>
      </c>
      <c r="C17" s="11">
        <v>1149.9739999999999</v>
      </c>
      <c r="D17" s="11">
        <f>120014/(1000)</f>
        <v>120.014</v>
      </c>
      <c r="E17" s="11">
        <f>122656/(1000)</f>
        <v>122.65600000000001</v>
      </c>
      <c r="F17" s="12">
        <f t="shared" si="0"/>
        <v>10.43623594968234</v>
      </c>
    </row>
    <row r="18" spans="1:6" x14ac:dyDescent="0.25">
      <c r="A18" s="6">
        <v>1972</v>
      </c>
      <c r="B18" s="10">
        <v>1140.6099999999999</v>
      </c>
      <c r="C18" s="11">
        <v>1173.6210000000001</v>
      </c>
      <c r="D18" s="11">
        <f>133317/(1000)</f>
        <v>133.31700000000001</v>
      </c>
      <c r="E18" s="11">
        <f>137556/(1000)</f>
        <v>137.55600000000001</v>
      </c>
      <c r="F18" s="12">
        <f t="shared" si="0"/>
        <v>11.359459314378322</v>
      </c>
    </row>
    <row r="19" spans="1:6" x14ac:dyDescent="0.25">
      <c r="A19" s="6">
        <v>1973</v>
      </c>
      <c r="B19" s="10">
        <v>1252.9549999999999</v>
      </c>
      <c r="C19" s="11">
        <v>1229.8109999999999</v>
      </c>
      <c r="D19" s="11">
        <f>131688/(1000)</f>
        <v>131.68799999999999</v>
      </c>
      <c r="E19" s="11">
        <f>143329/(1000)</f>
        <v>143.32900000000001</v>
      </c>
      <c r="F19" s="12">
        <f t="shared" si="0"/>
        <v>10.707986837001783</v>
      </c>
    </row>
    <row r="20" spans="1:6" x14ac:dyDescent="0.25">
      <c r="A20" s="6">
        <v>1974</v>
      </c>
      <c r="B20" s="10">
        <v>1203.498</v>
      </c>
      <c r="C20" s="11">
        <v>1190.4639999999999</v>
      </c>
      <c r="D20" s="11">
        <f>123703/(1000)</f>
        <v>123.703</v>
      </c>
      <c r="E20" s="11">
        <f>129584/(1000)</f>
        <v>129.584</v>
      </c>
      <c r="F20" s="12">
        <f t="shared" si="0"/>
        <v>10.391158405462072</v>
      </c>
    </row>
    <row r="21" spans="1:6" x14ac:dyDescent="0.25">
      <c r="A21" s="6">
        <v>1975</v>
      </c>
      <c r="B21" s="10">
        <v>1236.5350000000001</v>
      </c>
      <c r="C21" s="11">
        <v>1211.8340000000001</v>
      </c>
      <c r="D21" s="11">
        <f>147577/(1000)</f>
        <v>147.577</v>
      </c>
      <c r="E21" s="11">
        <f>152283/(1000)</f>
        <v>152.28299999999999</v>
      </c>
      <c r="F21" s="12">
        <f t="shared" si="0"/>
        <v>12.177988074274198</v>
      </c>
    </row>
    <row r="22" spans="1:6" x14ac:dyDescent="0.25">
      <c r="A22" s="6">
        <v>1976</v>
      </c>
      <c r="B22" s="10">
        <v>1341.7529999999999</v>
      </c>
      <c r="C22" s="11">
        <v>1272.7629999999999</v>
      </c>
      <c r="D22" s="11">
        <f>145470/(1000)</f>
        <v>145.47</v>
      </c>
      <c r="E22" s="11">
        <f>153442/(1000)</f>
        <v>153.44200000000001</v>
      </c>
      <c r="F22" s="12">
        <f t="shared" si="0"/>
        <v>11.429464872878926</v>
      </c>
    </row>
    <row r="23" spans="1:6" x14ac:dyDescent="0.25">
      <c r="A23" s="6">
        <v>1977</v>
      </c>
      <c r="B23" s="10">
        <v>1318.999</v>
      </c>
      <c r="C23" s="11">
        <v>1319.4369999999999</v>
      </c>
      <c r="D23" s="11">
        <f>159011/(1000)</f>
        <v>159.011</v>
      </c>
      <c r="E23" s="11">
        <f>160544/(1000)</f>
        <v>160.54400000000001</v>
      </c>
      <c r="F23" s="12">
        <f t="shared" si="0"/>
        <v>12.051427995425321</v>
      </c>
    </row>
    <row r="24" spans="1:6" x14ac:dyDescent="0.25">
      <c r="A24" s="6">
        <v>1978</v>
      </c>
      <c r="B24" s="10">
        <v>1445.1420000000001</v>
      </c>
      <c r="C24" s="11">
        <v>1380.0640000000001</v>
      </c>
      <c r="D24" s="11">
        <f>166705/(1000)</f>
        <v>166.70500000000001</v>
      </c>
      <c r="E24" s="11">
        <f>176739/(1000)</f>
        <v>176.739</v>
      </c>
      <c r="F24" s="12">
        <f t="shared" si="0"/>
        <v>12.07951225450414</v>
      </c>
    </row>
    <row r="25" spans="1:6" x14ac:dyDescent="0.25">
      <c r="A25" s="6">
        <v>1979</v>
      </c>
      <c r="B25" s="10">
        <v>1409.2349999999999</v>
      </c>
      <c r="C25" s="11">
        <v>1415.694</v>
      </c>
      <c r="D25" s="11">
        <f>195275/(1000)</f>
        <v>195.27500000000001</v>
      </c>
      <c r="E25" s="11">
        <f>194098/(1000)</f>
        <v>194.09800000000001</v>
      </c>
      <c r="F25" s="12">
        <f t="shared" si="0"/>
        <v>13.793588162413631</v>
      </c>
    </row>
    <row r="26" spans="1:6" x14ac:dyDescent="0.25">
      <c r="A26" s="6">
        <v>1980</v>
      </c>
      <c r="B26" s="10">
        <v>1429.2380000000001</v>
      </c>
      <c r="C26" s="11">
        <v>1439.934</v>
      </c>
      <c r="D26" s="11">
        <f>201503/(1000)</f>
        <v>201.50299999999999</v>
      </c>
      <c r="E26" s="11">
        <f>211993/(1000)</f>
        <v>211.99299999999999</v>
      </c>
      <c r="F26" s="12">
        <f t="shared" si="0"/>
        <v>13.993905276214047</v>
      </c>
    </row>
    <row r="27" spans="1:6" x14ac:dyDescent="0.25">
      <c r="A27" s="6">
        <v>1981</v>
      </c>
      <c r="B27" s="10">
        <v>1481.9079999999999</v>
      </c>
      <c r="C27" s="11">
        <v>1457.8040000000001</v>
      </c>
      <c r="D27" s="11">
        <f>209658/(1000)</f>
        <v>209.65799999999999</v>
      </c>
      <c r="E27" s="11">
        <f>210070/(1000)</f>
        <v>210.07</v>
      </c>
      <c r="F27" s="12">
        <f t="shared" si="0"/>
        <v>14.381768742574447</v>
      </c>
    </row>
    <row r="28" spans="1:6" x14ac:dyDescent="0.25">
      <c r="A28" s="6">
        <v>1982</v>
      </c>
      <c r="B28" s="10">
        <v>1532.992</v>
      </c>
      <c r="C28" s="11">
        <v>1474.6369999999999</v>
      </c>
      <c r="D28" s="11">
        <f>194761/(1000)</f>
        <v>194.761</v>
      </c>
      <c r="E28" s="11">
        <f>195872/(1000)</f>
        <v>195.87200000000001</v>
      </c>
      <c r="F28" s="12">
        <f t="shared" si="0"/>
        <v>13.207385953288844</v>
      </c>
    </row>
    <row r="29" spans="1:6" x14ac:dyDescent="0.25">
      <c r="A29" s="6">
        <v>1983</v>
      </c>
      <c r="B29" s="10">
        <v>1469.4390000000001</v>
      </c>
      <c r="C29" s="11">
        <v>1500.9179999999999</v>
      </c>
      <c r="D29" s="11">
        <f>196017/(1000)</f>
        <v>196.017</v>
      </c>
      <c r="E29" s="11">
        <f>205632/(1000)</f>
        <v>205.63200000000001</v>
      </c>
      <c r="F29" s="12">
        <f t="shared" si="0"/>
        <v>13.059807397872502</v>
      </c>
    </row>
    <row r="30" spans="1:6" x14ac:dyDescent="0.25">
      <c r="A30" s="6">
        <v>1984</v>
      </c>
      <c r="B30" s="10">
        <v>1631.7529999999999</v>
      </c>
      <c r="C30" s="11">
        <v>1548.9839999999999</v>
      </c>
      <c r="D30" s="11">
        <f>211270/(1000)</f>
        <v>211.27</v>
      </c>
      <c r="E30" s="11">
        <f>214212/(1000)</f>
        <v>214.21199999999999</v>
      </c>
      <c r="F30" s="12">
        <f t="shared" si="0"/>
        <v>13.639262897486354</v>
      </c>
    </row>
    <row r="31" spans="1:6" x14ac:dyDescent="0.25">
      <c r="A31" s="6">
        <v>1985</v>
      </c>
      <c r="B31" s="10">
        <v>1646.5070000000001</v>
      </c>
      <c r="C31" s="11">
        <v>1552.701</v>
      </c>
      <c r="D31" s="11">
        <f>172747/(1000)</f>
        <v>172.74700000000001</v>
      </c>
      <c r="E31" s="11">
        <f>175871/(1000)</f>
        <v>175.87100000000001</v>
      </c>
      <c r="F31" s="12">
        <f t="shared" si="0"/>
        <v>11.125580520654008</v>
      </c>
    </row>
    <row r="32" spans="1:6" x14ac:dyDescent="0.25">
      <c r="A32" s="6">
        <v>1986</v>
      </c>
      <c r="B32" s="10">
        <v>1664.0239999999999</v>
      </c>
      <c r="C32" s="11">
        <v>1601.375</v>
      </c>
      <c r="D32" s="11">
        <f>178452/(1000)</f>
        <v>178.452</v>
      </c>
      <c r="E32" s="11">
        <f>186958/(1000)</f>
        <v>186.958</v>
      </c>
      <c r="F32" s="12">
        <f t="shared" si="0"/>
        <v>11.143673405667005</v>
      </c>
    </row>
    <row r="33" spans="1:6" x14ac:dyDescent="0.25">
      <c r="A33" s="6">
        <v>1987</v>
      </c>
      <c r="B33" s="10">
        <v>1600.953</v>
      </c>
      <c r="C33" s="11">
        <v>1639.7170000000001</v>
      </c>
      <c r="D33" s="11">
        <f>209718/(1000)</f>
        <v>209.71799999999999</v>
      </c>
      <c r="E33" s="11">
        <f>212898/(1000)</f>
        <v>212.898</v>
      </c>
      <c r="F33" s="12">
        <f t="shared" si="0"/>
        <v>12.789889962719176</v>
      </c>
    </row>
    <row r="34" spans="1:6" x14ac:dyDescent="0.25">
      <c r="A34" s="6">
        <v>1988</v>
      </c>
      <c r="B34" s="10">
        <v>1550.2339999999999</v>
      </c>
      <c r="C34" s="11">
        <v>1620.4010000000001</v>
      </c>
      <c r="D34" s="11">
        <f>212145/(1000)</f>
        <v>212.14500000000001</v>
      </c>
      <c r="E34" s="11">
        <f>219414/(1000)</f>
        <v>219.41399999999999</v>
      </c>
      <c r="F34" s="12">
        <f t="shared" si="0"/>
        <v>13.092129664200405</v>
      </c>
    </row>
    <row r="35" spans="1:6" x14ac:dyDescent="0.25">
      <c r="A35" s="6">
        <v>1989</v>
      </c>
      <c r="B35" s="10">
        <v>1672.66</v>
      </c>
      <c r="C35" s="11">
        <v>1676.7260000000001</v>
      </c>
      <c r="D35" s="11">
        <f>212826/(1000)</f>
        <v>212.82599999999999</v>
      </c>
      <c r="E35" s="11">
        <f>218557/(1000)</f>
        <v>218.55699999999999</v>
      </c>
      <c r="F35" s="12">
        <f t="shared" si="0"/>
        <v>12.692950428394381</v>
      </c>
    </row>
    <row r="36" spans="1:6" x14ac:dyDescent="0.25">
      <c r="A36" s="6">
        <v>1990</v>
      </c>
      <c r="B36" s="10">
        <v>1769.019</v>
      </c>
      <c r="C36" s="11">
        <v>1706.972</v>
      </c>
      <c r="D36" s="11">
        <f>197796/(1000)</f>
        <v>197.79599999999999</v>
      </c>
      <c r="E36" s="11">
        <f>205656/(1000)</f>
        <v>205.65600000000001</v>
      </c>
      <c r="F36" s="12">
        <f t="shared" si="0"/>
        <v>11.587536292335198</v>
      </c>
    </row>
    <row r="37" spans="1:6" x14ac:dyDescent="0.25">
      <c r="A37" s="6">
        <v>1991</v>
      </c>
      <c r="B37" s="10">
        <v>1708.9780000000001</v>
      </c>
      <c r="C37" s="11">
        <v>1713.6079999999999</v>
      </c>
      <c r="D37" s="11">
        <f>213830/(1000)</f>
        <v>213.83</v>
      </c>
      <c r="E37" s="11">
        <f>218378/(1000)</f>
        <v>218.37799999999999</v>
      </c>
      <c r="F37" s="12">
        <f t="shared" si="0"/>
        <v>12.478349774277433</v>
      </c>
    </row>
    <row r="38" spans="1:6" x14ac:dyDescent="0.25">
      <c r="A38" s="6">
        <v>1992</v>
      </c>
      <c r="B38" s="10">
        <v>1785.5730000000001</v>
      </c>
      <c r="C38" s="11">
        <v>1736.066</v>
      </c>
      <c r="D38" s="11">
        <f>208567/(1000)</f>
        <v>208.56700000000001</v>
      </c>
      <c r="E38" s="11">
        <f>219052/(1000)</f>
        <v>219.05199999999999</v>
      </c>
      <c r="F38" s="12">
        <f t="shared" si="0"/>
        <v>12.01377136583517</v>
      </c>
    </row>
    <row r="39" spans="1:6" x14ac:dyDescent="0.25">
      <c r="A39" s="6">
        <v>1993</v>
      </c>
      <c r="B39" s="10">
        <v>1710.7819999999999</v>
      </c>
      <c r="C39" s="11">
        <v>1739.693</v>
      </c>
      <c r="D39" s="11">
        <f>198633/(1000)</f>
        <v>198.63300000000001</v>
      </c>
      <c r="E39" s="11">
        <f>207102/(1000)</f>
        <v>207.102</v>
      </c>
      <c r="F39" s="12">
        <f t="shared" si="0"/>
        <v>11.417704158147444</v>
      </c>
    </row>
    <row r="40" spans="1:6" x14ac:dyDescent="0.25">
      <c r="A40" s="6">
        <v>1994</v>
      </c>
      <c r="B40" s="10">
        <v>1756.6220000000001</v>
      </c>
      <c r="C40" s="11">
        <v>1762.289</v>
      </c>
      <c r="D40" s="11">
        <f>213562/(1000)</f>
        <v>213.56200000000001</v>
      </c>
      <c r="E40" s="11">
        <f>212775/(1000)</f>
        <v>212.77500000000001</v>
      </c>
      <c r="F40" s="12">
        <f t="shared" si="0"/>
        <v>12.118443683187037</v>
      </c>
    </row>
    <row r="41" spans="1:6" x14ac:dyDescent="0.25">
      <c r="A41" s="6">
        <v>1995</v>
      </c>
      <c r="B41" s="10">
        <v>1707.249</v>
      </c>
      <c r="C41" s="11">
        <v>1740.895</v>
      </c>
      <c r="D41" s="11">
        <f>204247/(1000)</f>
        <v>204.24700000000001</v>
      </c>
      <c r="E41" s="11">
        <f>213548/(1000)</f>
        <v>213.548</v>
      </c>
      <c r="F41" s="12">
        <f t="shared" si="0"/>
        <v>11.732298616516218</v>
      </c>
    </row>
    <row r="42" spans="1:6" x14ac:dyDescent="0.25">
      <c r="A42" s="6">
        <v>1996</v>
      </c>
      <c r="B42" s="10">
        <v>1871.9259999999999</v>
      </c>
      <c r="C42" s="11">
        <v>1808.8820000000001</v>
      </c>
      <c r="D42" s="11">
        <f>206252/(1000)</f>
        <v>206.25200000000001</v>
      </c>
      <c r="E42" s="11">
        <f>219513/(1000)</f>
        <v>219.51300000000001</v>
      </c>
      <c r="F42" s="12">
        <f t="shared" si="0"/>
        <v>11.402181015677087</v>
      </c>
    </row>
    <row r="43" spans="1:6" x14ac:dyDescent="0.25">
      <c r="A43" s="6">
        <v>1997</v>
      </c>
      <c r="B43" s="10">
        <v>1879.0260000000001</v>
      </c>
      <c r="C43" s="11">
        <v>1820.884</v>
      </c>
      <c r="D43" s="11">
        <f>213470/(1000)</f>
        <v>213.47</v>
      </c>
      <c r="E43" s="11">
        <f>217235/(1000)</f>
        <v>217.23500000000001</v>
      </c>
      <c r="F43" s="12">
        <f t="shared" si="0"/>
        <v>11.723426643322693</v>
      </c>
    </row>
    <row r="44" spans="1:6" x14ac:dyDescent="0.25">
      <c r="A44" s="6">
        <v>1998</v>
      </c>
      <c r="B44" s="10">
        <v>1876.807</v>
      </c>
      <c r="C44" s="11">
        <v>1835.3130000000001</v>
      </c>
      <c r="D44" s="11">
        <f>219352/(1000)</f>
        <v>219.352</v>
      </c>
      <c r="E44" s="11">
        <f>220734/(1000)</f>
        <v>220.73400000000001</v>
      </c>
      <c r="F44" s="12">
        <f t="shared" si="0"/>
        <v>11.951748829763641</v>
      </c>
    </row>
    <row r="45" spans="1:6" x14ac:dyDescent="0.25">
      <c r="A45" s="6">
        <v>1999</v>
      </c>
      <c r="B45" s="10">
        <v>1874.086</v>
      </c>
      <c r="C45" s="11">
        <v>1855.875</v>
      </c>
      <c r="D45" s="11">
        <f>228896/(1000)</f>
        <v>228.89599999999999</v>
      </c>
      <c r="E45" s="11">
        <f>241168/(1000)</f>
        <v>241.16800000000001</v>
      </c>
      <c r="F45" s="12">
        <f t="shared" si="0"/>
        <v>12.333589277295076</v>
      </c>
    </row>
    <row r="46" spans="1:6" x14ac:dyDescent="0.25">
      <c r="A46" s="6">
        <v>2000</v>
      </c>
      <c r="B46" s="10">
        <v>1846.008</v>
      </c>
      <c r="C46" s="11">
        <v>1861.1849999999999</v>
      </c>
      <c r="D46" s="11">
        <f>224000/(1000)</f>
        <v>224</v>
      </c>
      <c r="E46" s="11">
        <f>229864/(1000)</f>
        <v>229.864</v>
      </c>
      <c r="F46" s="12">
        <f t="shared" si="0"/>
        <v>12.035343074439135</v>
      </c>
    </row>
    <row r="47" spans="1:6" x14ac:dyDescent="0.25">
      <c r="A47" s="6">
        <v>2001</v>
      </c>
      <c r="B47" s="10">
        <v>1879.64</v>
      </c>
      <c r="C47" s="11">
        <v>1904.7660000000001</v>
      </c>
      <c r="D47" s="11">
        <f>230842/(1000)</f>
        <v>230.84200000000001</v>
      </c>
      <c r="E47" s="11">
        <f>234923/(1000)</f>
        <v>234.923</v>
      </c>
      <c r="F47" s="12">
        <f t="shared" si="0"/>
        <v>12.119178943765272</v>
      </c>
    </row>
    <row r="48" spans="1:6" x14ac:dyDescent="0.25">
      <c r="A48" s="6">
        <v>2002</v>
      </c>
      <c r="B48" s="10">
        <v>1821.443</v>
      </c>
      <c r="C48" s="11">
        <v>1909.4259999999999</v>
      </c>
      <c r="D48" s="11">
        <f>232187/(1000)</f>
        <v>232.18700000000001</v>
      </c>
      <c r="E48" s="11">
        <f>236568/(1000)</f>
        <v>236.56800000000001</v>
      </c>
      <c r="F48" s="12">
        <f t="shared" si="0"/>
        <v>12.160041813613097</v>
      </c>
    </row>
    <row r="49" spans="1:6" x14ac:dyDescent="0.25">
      <c r="A49" s="6">
        <v>2003</v>
      </c>
      <c r="B49" s="10">
        <v>1863.55</v>
      </c>
      <c r="C49" s="11">
        <v>1935.944</v>
      </c>
      <c r="D49" s="11">
        <f>227854/(1000)</f>
        <v>227.85400000000001</v>
      </c>
      <c r="E49" s="11">
        <f>239296/(1000)</f>
        <v>239.29599999999999</v>
      </c>
      <c r="F49" s="12">
        <f t="shared" si="0"/>
        <v>11.769658626489198</v>
      </c>
    </row>
    <row r="50" spans="1:6" x14ac:dyDescent="0.25">
      <c r="A50" s="6">
        <v>2004</v>
      </c>
      <c r="B50" s="10">
        <v>2043.1690000000001</v>
      </c>
      <c r="C50" s="11">
        <v>1989.5619999999999</v>
      </c>
      <c r="D50" s="11">
        <f>236682/(1000)</f>
        <v>236.68199999999999</v>
      </c>
      <c r="E50" s="11">
        <f>240670/(1000)</f>
        <v>240.67</v>
      </c>
      <c r="F50" s="12">
        <f t="shared" si="0"/>
        <v>11.896186195755648</v>
      </c>
    </row>
    <row r="51" spans="1:6" x14ac:dyDescent="0.25">
      <c r="A51" s="6">
        <v>2005</v>
      </c>
      <c r="B51" s="10">
        <v>2016.481</v>
      </c>
      <c r="C51" s="11">
        <v>2020.0309999999999</v>
      </c>
      <c r="D51" s="11">
        <f>244210/(1000)</f>
        <v>244.21</v>
      </c>
      <c r="E51" s="11">
        <f>254238/(1000)</f>
        <v>254.238</v>
      </c>
      <c r="F51" s="12">
        <f t="shared" si="0"/>
        <v>12.089418429717167</v>
      </c>
    </row>
    <row r="52" spans="1:6" x14ac:dyDescent="0.25">
      <c r="A52" s="6">
        <v>2006</v>
      </c>
      <c r="B52" s="10">
        <v>2004.74</v>
      </c>
      <c r="C52" s="11">
        <v>2044.9390000000001</v>
      </c>
      <c r="D52" s="11">
        <f>255486/(1000)</f>
        <v>255.48599999999999</v>
      </c>
      <c r="E52" s="11">
        <f>261113/(1000)</f>
        <v>261.113</v>
      </c>
      <c r="F52" s="12">
        <f t="shared" si="0"/>
        <v>12.493575602988646</v>
      </c>
    </row>
    <row r="53" spans="1:6" x14ac:dyDescent="0.25">
      <c r="A53" s="6">
        <v>2007</v>
      </c>
      <c r="B53" s="10">
        <v>2125.5680000000002</v>
      </c>
      <c r="C53" s="11">
        <v>2096.8209999999999</v>
      </c>
      <c r="D53" s="11">
        <f>270033/(1000)</f>
        <v>270.03300000000002</v>
      </c>
      <c r="E53" s="11">
        <f>275971/(1000)</f>
        <v>275.971</v>
      </c>
      <c r="F53" s="12">
        <f t="shared" si="0"/>
        <v>12.878209441816924</v>
      </c>
    </row>
    <row r="54" spans="1:6" x14ac:dyDescent="0.25">
      <c r="A54" s="6">
        <v>2008</v>
      </c>
      <c r="B54" s="10">
        <v>2244.1999999999998</v>
      </c>
      <c r="C54" s="11">
        <v>2151.7449999999999</v>
      </c>
      <c r="D54" s="11">
        <f>275993/(1000)</f>
        <v>275.99299999999999</v>
      </c>
      <c r="E54" s="11">
        <f>286551/(1000)</f>
        <v>286.55099999999999</v>
      </c>
      <c r="F54" s="12">
        <f t="shared" si="0"/>
        <v>12.826473397172993</v>
      </c>
    </row>
    <row r="55" spans="1:6" x14ac:dyDescent="0.25">
      <c r="A55" s="6">
        <v>2009</v>
      </c>
      <c r="B55" s="10">
        <v>2238.3649999999998</v>
      </c>
      <c r="C55" s="11">
        <v>2188.6849999999999</v>
      </c>
      <c r="D55" s="11">
        <f>277646/(1000)</f>
        <v>277.64600000000002</v>
      </c>
      <c r="E55" s="11">
        <f>291369/(1000)</f>
        <v>291.36900000000003</v>
      </c>
      <c r="F55" s="12">
        <f t="shared" si="0"/>
        <v>12.685516645839853</v>
      </c>
    </row>
    <row r="56" spans="1:6" x14ac:dyDescent="0.25">
      <c r="A56" s="6">
        <v>2010</v>
      </c>
      <c r="B56" s="10">
        <v>2197.1179999999999</v>
      </c>
      <c r="C56" s="11">
        <v>2226.9430000000002</v>
      </c>
      <c r="D56" s="11">
        <f>280336/(1000)</f>
        <v>280.33600000000001</v>
      </c>
      <c r="E56" s="11">
        <f>283617/(1000)</f>
        <v>283.61700000000002</v>
      </c>
      <c r="F56" s="12">
        <f t="shared" si="0"/>
        <v>12.588377879451787</v>
      </c>
    </row>
    <row r="57" spans="1:6" x14ac:dyDescent="0.25">
      <c r="A57" s="14">
        <v>2011</v>
      </c>
      <c r="B57" s="15">
        <v>2304.306</v>
      </c>
      <c r="C57" s="16">
        <v>2284.6329999999998</v>
      </c>
      <c r="D57" s="16">
        <f>297272/(1000)</f>
        <v>297.27199999999999</v>
      </c>
      <c r="E57" s="16">
        <f>311013/(1000)</f>
        <v>311.01299999999998</v>
      </c>
      <c r="F57" s="17">
        <f t="shared" si="0"/>
        <v>13.011805397190709</v>
      </c>
    </row>
    <row r="59" spans="1:6" ht="15" customHeight="1" x14ac:dyDescent="0.25">
      <c r="A59" s="18" t="s">
        <v>9</v>
      </c>
      <c r="B59" s="18"/>
      <c r="C59" s="18"/>
      <c r="D59" s="18"/>
      <c r="E59" s="18"/>
      <c r="F59" s="18"/>
    </row>
    <row r="60" spans="1:6" ht="15.75" customHeight="1" x14ac:dyDescent="0.25">
      <c r="A60" s="18"/>
      <c r="B60" s="18"/>
      <c r="C60" s="18"/>
      <c r="D60" s="18"/>
      <c r="E60" s="18"/>
      <c r="F60" s="18"/>
    </row>
    <row r="62" spans="1:6" ht="12.75" customHeight="1" x14ac:dyDescent="0.25">
      <c r="A62" s="19" t="s">
        <v>10</v>
      </c>
      <c r="B62" s="19"/>
      <c r="C62" s="19"/>
      <c r="D62" s="19"/>
      <c r="E62" s="19"/>
      <c r="F62" s="19"/>
    </row>
    <row r="63" spans="1:6" x14ac:dyDescent="0.25">
      <c r="A63" s="19"/>
      <c r="B63" s="19"/>
      <c r="C63" s="19"/>
      <c r="D63" s="19"/>
      <c r="E63" s="19"/>
      <c r="F63" s="19"/>
    </row>
    <row r="64" spans="1:6" x14ac:dyDescent="0.25">
      <c r="A64" s="19"/>
      <c r="B64" s="19"/>
      <c r="C64" s="19"/>
      <c r="D64" s="19"/>
      <c r="E64" s="19"/>
      <c r="F64" s="19"/>
    </row>
  </sheetData>
  <mergeCells count="3">
    <mergeCell ref="B4:E4"/>
    <mergeCell ref="A59:F60"/>
    <mergeCell ref="A62:F64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ProdConTrade</vt:lpstr>
      <vt:lpstr>Exports (g)</vt:lpstr>
      <vt:lpstr>Imports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2012-09-19T19:06:40Z</dcterms:created>
  <dcterms:modified xsi:type="dcterms:W3CDTF">2012-09-19T19:06:47Z</dcterms:modified>
</cp:coreProperties>
</file>